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LSC Data\CT10R0\"/>
    </mc:Choice>
  </mc:AlternateContent>
  <bookViews>
    <workbookView xWindow="0" yWindow="0" windowWidth="19305" windowHeight="8085"/>
  </bookViews>
  <sheets>
    <sheet name="CT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2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  <c r="AB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AB16" i="1"/>
  <c r="AA16" i="1"/>
  <c r="AA15" i="1"/>
  <c r="AB15" i="1" s="1"/>
  <c r="AB14" i="1"/>
  <c r="AA14" i="1"/>
  <c r="AA13" i="1"/>
  <c r="AB13" i="1" s="1"/>
  <c r="AB12" i="1"/>
  <c r="AA12" i="1"/>
  <c r="AA11" i="1"/>
  <c r="AB11" i="1" s="1"/>
  <c r="AB10" i="1"/>
  <c r="AA10" i="1"/>
  <c r="AE9" i="1"/>
  <c r="AA9" i="1"/>
  <c r="AB9" i="1" s="1"/>
  <c r="AA8" i="1"/>
  <c r="AB8" i="1" s="1"/>
  <c r="AA7" i="1"/>
  <c r="AB7" i="1" s="1"/>
  <c r="AA6" i="1"/>
  <c r="AB6" i="1" s="1"/>
  <c r="AA5" i="1"/>
  <c r="AB5" i="1" s="1"/>
  <c r="AA4" i="1"/>
  <c r="AB4" i="1" s="1"/>
  <c r="AE3" i="1"/>
  <c r="AB3" i="1"/>
  <c r="AA3" i="1"/>
  <c r="AA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M15" i="1" l="1"/>
  <c r="X15" i="1" l="1"/>
  <c r="T15" i="1"/>
  <c r="U15" i="1" s="1"/>
  <c r="M11" i="1"/>
  <c r="M12" i="1"/>
  <c r="M9" i="1"/>
  <c r="M2" i="1"/>
  <c r="O15" i="1"/>
  <c r="Q15" i="1" s="1"/>
  <c r="M4" i="1"/>
  <c r="M13" i="1"/>
  <c r="M6" i="1"/>
  <c r="M8" i="1"/>
  <c r="M10" i="1"/>
  <c r="M17" i="1"/>
  <c r="X17" i="1" s="1"/>
  <c r="M5" i="1"/>
  <c r="M3" i="1"/>
  <c r="M16" i="1"/>
  <c r="M14" i="1"/>
  <c r="M7" i="1"/>
  <c r="X3" i="1" l="1"/>
  <c r="T3" i="1"/>
  <c r="U3" i="1" s="1"/>
  <c r="T8" i="1"/>
  <c r="U8" i="1" s="1"/>
  <c r="X8" i="1"/>
  <c r="X7" i="1"/>
  <c r="T7" i="1"/>
  <c r="U7" i="1" s="1"/>
  <c r="O6" i="1"/>
  <c r="T6" i="1"/>
  <c r="U6" i="1" s="1"/>
  <c r="X6" i="1"/>
  <c r="O11" i="1"/>
  <c r="Q11" i="1" s="1"/>
  <c r="X11" i="1"/>
  <c r="T11" i="1"/>
  <c r="U11" i="1" s="1"/>
  <c r="O12" i="1"/>
  <c r="Q12" i="1" s="1"/>
  <c r="X12" i="1"/>
  <c r="T12" i="1"/>
  <c r="U12" i="1" s="1"/>
  <c r="X5" i="1"/>
  <c r="T5" i="1"/>
  <c r="U5" i="1" s="1"/>
  <c r="X14" i="1"/>
  <c r="T14" i="1"/>
  <c r="U14" i="1" s="1"/>
  <c r="T13" i="1"/>
  <c r="U13" i="1" s="1"/>
  <c r="X13" i="1"/>
  <c r="X16" i="1"/>
  <c r="T16" i="1"/>
  <c r="U16" i="1" s="1"/>
  <c r="X10" i="1"/>
  <c r="T10" i="1"/>
  <c r="U10" i="1" s="1"/>
  <c r="T4" i="1"/>
  <c r="U4" i="1" s="1"/>
  <c r="X4" i="1"/>
  <c r="O9" i="1"/>
  <c r="X9" i="1"/>
  <c r="T9" i="1"/>
  <c r="U9" i="1" s="1"/>
  <c r="AC15" i="1"/>
  <c r="Y15" i="1"/>
  <c r="Z15" i="1" s="1"/>
  <c r="O2" i="1"/>
  <c r="Q2" i="1" s="1"/>
  <c r="X2" i="1"/>
  <c r="T2" i="1"/>
  <c r="Q9" i="1"/>
  <c r="O8" i="1"/>
  <c r="Q8" i="1" s="1"/>
  <c r="Q6" i="1"/>
  <c r="O13" i="1"/>
  <c r="Q13" i="1" s="1"/>
  <c r="O10" i="1"/>
  <c r="Q10" i="1" s="1"/>
  <c r="O4" i="1"/>
  <c r="Q4" i="1" s="1"/>
  <c r="O16" i="1"/>
  <c r="Q16" i="1" s="1"/>
  <c r="O17" i="1"/>
  <c r="Q17" i="1" s="1"/>
  <c r="O3" i="1"/>
  <c r="Q3" i="1" s="1"/>
  <c r="O7" i="1"/>
  <c r="Q7" i="1" s="1"/>
  <c r="O14" i="1"/>
  <c r="Q14" i="1" s="1"/>
  <c r="O5" i="1"/>
  <c r="Q5" i="1" s="1"/>
  <c r="AC16" i="1" l="1"/>
  <c r="Y16" i="1"/>
  <c r="Z16" i="1" s="1"/>
  <c r="AC12" i="1"/>
  <c r="Y12" i="1"/>
  <c r="Z12" i="1" s="1"/>
  <c r="AC7" i="1"/>
  <c r="Y7" i="1"/>
  <c r="Z7" i="1" s="1"/>
  <c r="AC10" i="1"/>
  <c r="Y10" i="1"/>
  <c r="Z10" i="1" s="1"/>
  <c r="AC5" i="1"/>
  <c r="Y5" i="1"/>
  <c r="Z5" i="1" s="1"/>
  <c r="Y8" i="1"/>
  <c r="Z8" i="1" s="1"/>
  <c r="AC8" i="1"/>
  <c r="Y4" i="1"/>
  <c r="Z4" i="1" s="1"/>
  <c r="AC4" i="1"/>
  <c r="AC11" i="1"/>
  <c r="Y11" i="1"/>
  <c r="Z11" i="1" s="1"/>
  <c r="AC14" i="1"/>
  <c r="Y14" i="1"/>
  <c r="Z14" i="1" s="1"/>
  <c r="AC9" i="1"/>
  <c r="Y9" i="1"/>
  <c r="Z9" i="1" s="1"/>
  <c r="Y13" i="1"/>
  <c r="Z13" i="1" s="1"/>
  <c r="AC13" i="1"/>
  <c r="Y6" i="1"/>
  <c r="Z6" i="1" s="1"/>
  <c r="AC6" i="1"/>
  <c r="AC3" i="1"/>
  <c r="Y3" i="1"/>
  <c r="Z3" i="1" s="1"/>
  <c r="V9" i="1"/>
  <c r="V2" i="1"/>
  <c r="V3" i="1"/>
  <c r="V10" i="1"/>
  <c r="U2" i="1"/>
  <c r="V7" i="1"/>
  <c r="V13" i="1"/>
  <c r="V12" i="1"/>
  <c r="V11" i="1"/>
  <c r="V6" i="1"/>
  <c r="V14" i="1"/>
  <c r="V4" i="1"/>
  <c r="V15" i="1"/>
  <c r="V8" i="1"/>
  <c r="V16" i="1"/>
  <c r="V5" i="1"/>
  <c r="X23" i="1"/>
  <c r="Y2" i="1"/>
  <c r="Z2" i="1" s="1"/>
  <c r="AC2" i="1"/>
  <c r="AC23" i="1" l="1"/>
  <c r="Y23" i="1"/>
  <c r="W2" i="1"/>
  <c r="W12" i="1"/>
  <c r="W10" i="1"/>
  <c r="W5" i="1"/>
  <c r="W6" i="1"/>
  <c r="W9" i="1"/>
  <c r="W15" i="1"/>
  <c r="W3" i="1"/>
  <c r="W16" i="1"/>
  <c r="W11" i="1"/>
  <c r="W8" i="1"/>
  <c r="W7" i="1"/>
  <c r="W14" i="1"/>
  <c r="W4" i="1"/>
  <c r="W13" i="1"/>
</calcChain>
</file>

<file path=xl/sharedStrings.xml><?xml version="1.0" encoding="utf-8"?>
<sst xmlns="http://schemas.openxmlformats.org/spreadsheetml/2006/main" count="49" uniqueCount="49">
  <si>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</si>
  <si>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</si>
  <si>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</si>
  <si>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</si>
  <si>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</si>
  <si>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</si>
  <si>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</si>
  <si>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</si>
  <si>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</si>
  <si>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</si>
  <si>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Total bkgd corrected counts (cpm)</t>
  </si>
  <si>
    <t>CT10R 1 mL</t>
  </si>
  <si>
    <t>CT10R 2 mL</t>
  </si>
  <si>
    <t>CT10R 3 mL</t>
  </si>
  <si>
    <t>CT10R 4 mL</t>
  </si>
  <si>
    <t>CT10R 5 mL</t>
  </si>
  <si>
    <t>CT10R 6 mL</t>
  </si>
  <si>
    <t>CT10R 7 mL</t>
  </si>
  <si>
    <t>CT10R 8 mL</t>
  </si>
  <si>
    <t>CT10R 9 mL</t>
  </si>
  <si>
    <t>CT10R 10 mL</t>
  </si>
  <si>
    <t>CT10R 11 mL</t>
  </si>
  <si>
    <t>CT10R 12 mL</t>
  </si>
  <si>
    <t>CT10R 13 mL</t>
  </si>
  <si>
    <t>CT10R 14 mL</t>
  </si>
  <si>
    <t>CT10R 15 mL</t>
  </si>
  <si>
    <t>CT10R blk</t>
  </si>
  <si>
    <t>Weight of Eluate (g)</t>
  </si>
  <si>
    <t>Weight of Eluate (g) σ</t>
  </si>
  <si>
    <t>Weight Corrected Sr-90 Activity (DPM)</t>
  </si>
  <si>
    <t>Weight Corrected Sr-90 Activity (DPM) σ</t>
  </si>
  <si>
    <t xml:space="preserve">Cumulative Activity (DPM) </t>
  </si>
  <si>
    <t>Cumulative Activity (DPM) σ</t>
  </si>
  <si>
    <t>Activity (bq)</t>
  </si>
  <si>
    <t>Activity (Bq) σ</t>
  </si>
  <si>
    <t>Activity (Bq) σ ^2</t>
  </si>
  <si>
    <t>Time from 05.06.2018</t>
  </si>
  <si>
    <t>DC factor</t>
  </si>
  <si>
    <t>DC to 05.06.2018</t>
  </si>
  <si>
    <t>σ</t>
  </si>
  <si>
    <t>Sr-90 activity recovered</t>
  </si>
  <si>
    <t>Decay constant of sr-90=</t>
  </si>
  <si>
    <r>
      <t xml:space="preserve">Measured counts % </t>
    </r>
    <r>
      <rPr>
        <sz val="11"/>
        <color theme="1"/>
        <rFont val="Calibri"/>
        <family val="2"/>
      </rPr>
      <t>σ</t>
    </r>
  </si>
  <si>
    <t>Measured counts σ</t>
  </si>
  <si>
    <t>Total Bkgd corrected counts σ</t>
  </si>
  <si>
    <r>
      <t xml:space="preserve">Time elapsed (hrs) </t>
    </r>
    <r>
      <rPr>
        <sz val="11"/>
        <color theme="1"/>
        <rFont val="Calibri"/>
        <family val="2"/>
      </rPr>
      <t>σ</t>
    </r>
  </si>
  <si>
    <r>
      <t xml:space="preserve">Ingrowth factor </t>
    </r>
    <r>
      <rPr>
        <sz val="11"/>
        <color theme="1"/>
        <rFont val="Calibri"/>
        <family val="2"/>
      </rPr>
      <t>σ</t>
    </r>
  </si>
  <si>
    <r>
      <t xml:space="preserve">CPM of Sr-90 </t>
    </r>
    <r>
      <rPr>
        <sz val="11"/>
        <color theme="1"/>
        <rFont val="Calibri"/>
        <family val="2"/>
      </rPr>
      <t>σ</t>
    </r>
  </si>
  <si>
    <r>
      <t xml:space="preserve">CPM of Y-90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</si>
</sst>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2" fontId="0" fillId="0" borderId="0" xfId="0" applyNumberFormat="1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165" fontId="0" fillId="0" borderId="3" xfId="0" applyNumberFormat="1" applyBorder="1"/>
    <xf numFmtId="0" fontId="0" fillId="0" borderId="4" xfId="0" applyBorder="1"/>
    <xf numFmtId="0" fontId="0" fillId="2" borderId="4" xfId="0" applyFill="1" applyBorder="1"/>
    <xf numFmtId="165" fontId="0" fillId="0" borderId="4" xfId="0" applyNumberFormat="1" applyBorder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166" fontId="0" fillId="2" borderId="3" xfId="0" applyNumberFormat="1" applyFill="1" applyBorder="1"/>
    <xf numFmtId="166" fontId="0" fillId="2" borderId="4" xfId="0" applyNumberFormat="1" applyFill="1" applyBorder="1"/>
    <xf numFmtId="22" fontId="0" fillId="0" borderId="4" xfId="0" applyNumberFormat="1" applyBorder="1"/>
    <xf numFmtId="2" fontId="0" fillId="0" borderId="4" xfId="0" applyNumberFormat="1" applyBorder="1"/>
    <xf numFmtId="2" fontId="0" fillId="2" borderId="4" xfId="0" applyNumberFormat="1" applyFill="1" applyBorder="1"/>
    <xf numFmtId="164" fontId="0" fillId="0" borderId="4" xfId="0" applyNumberFormat="1" applyBorder="1"/>
    <xf numFmtId="22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2" fontId="0" fillId="0" borderId="10" xfId="0" applyNumberFormat="1" applyBorder="1"/>
    <xf numFmtId="22" fontId="0" fillId="0" borderId="3" xfId="0" applyNumberFormat="1" applyBorder="1"/>
    <xf numFmtId="2" fontId="0" fillId="0" borderId="3" xfId="0" applyNumberFormat="1" applyBorder="1"/>
    <xf numFmtId="2" fontId="0" fillId="2" borderId="3" xfId="0" applyNumberFormat="1" applyFill="1" applyBorder="1"/>
    <xf numFmtId="164" fontId="0" fillId="0" borderId="3" xfId="0" applyNumberFormat="1" applyBorder="1"/>
    <xf numFmtId="0" fontId="0" fillId="0" borderId="5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zoomScaleNormal="100" workbookViewId="0">
      <selection activeCell="C9" sqref="C9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20" style="11" bestFit="1" customWidth="1"/>
    <col min="6" max="6" width="18" style="11" bestFit="1" customWidth="1"/>
    <col min="7" max="7" width="31.5703125" bestFit="1" customWidth="1"/>
    <col min="8" max="8" width="31.5703125" style="11" customWidth="1"/>
    <col min="9" max="9" width="17.7109375" bestFit="1" customWidth="1"/>
    <col min="10" max="10" width="18.85546875" style="11" bestFit="1" customWidth="1"/>
    <col min="11" max="11" width="17.7109375" customWidth="1"/>
    <col min="12" max="12" width="17.7109375" style="11" customWidth="1"/>
    <col min="13" max="13" width="12.140625" bestFit="1" customWidth="1"/>
    <col min="14" max="14" width="14" style="11" bestFit="1" customWidth="1"/>
    <col min="15" max="15" width="12.140625" bestFit="1" customWidth="1"/>
    <col min="16" max="16" width="13.140625" style="11" bestFit="1" customWidth="1"/>
    <col min="17" max="17" width="12" bestFit="1" customWidth="1"/>
    <col min="18" max="18" width="18.85546875" bestFit="1" customWidth="1"/>
    <col min="19" max="19" width="20.42578125" style="11" bestFit="1" customWidth="1"/>
    <col min="20" max="20" width="35.42578125" bestFit="1" customWidth="1"/>
    <col min="21" max="21" width="35.42578125" style="11" customWidth="1"/>
    <col min="22" max="22" width="25.140625" bestFit="1" customWidth="1"/>
    <col min="23" max="23" width="25.140625" style="11" customWidth="1"/>
    <col min="24" max="24" width="12" customWidth="1"/>
    <col min="25" max="25" width="13.5703125" style="11" bestFit="1" customWidth="1"/>
    <col min="26" max="26" width="13.5703125" style="11" customWidth="1"/>
    <col min="27" max="27" width="20" bestFit="1" customWidth="1"/>
    <col min="28" max="28" width="11.5703125" bestFit="1" customWidth="1"/>
    <col min="29" max="29" width="15.42578125" bestFit="1" customWidth="1"/>
    <col min="30" max="30" width="15.42578125" customWidth="1"/>
    <col min="31" max="31" width="22.140625" bestFit="1" customWidth="1"/>
    <col min="39" max="39" width="22.140625" bestFit="1" customWidth="1"/>
  </cols>
  <sheetData>
    <row r="1" spans="1:31" ht="15.75" thickBot="1" x14ac:dyDescent="0.3">
      <c r="A1" s="29" t="s">
        <v>3</v>
      </c>
      <c r="B1" s="30" t="s">
        <v>5</v>
      </c>
      <c r="C1" s="2" t="s">
        <v>4</v>
      </c>
      <c r="D1" s="2" t="s">
        <v>0</v>
      </c>
      <c r="E1" s="3" t="s">
        <v>42</v>
      </c>
      <c r="F1" s="3" t="s">
        <v>43</v>
      </c>
      <c r="G1" s="2" t="s">
        <v>10</v>
      </c>
      <c r="H1" s="3" t="s">
        <v>44</v>
      </c>
      <c r="I1" s="2" t="s">
        <v>1</v>
      </c>
      <c r="J1" s="3" t="s">
        <v>45</v>
      </c>
      <c r="K1" s="2" t="s">
        <v>6</v>
      </c>
      <c r="L1" s="3" t="s">
        <v>46</v>
      </c>
      <c r="M1" s="2" t="s">
        <v>7</v>
      </c>
      <c r="N1" s="3" t="s">
        <v>47</v>
      </c>
      <c r="O1" s="2" t="s">
        <v>8</v>
      </c>
      <c r="P1" s="3" t="s">
        <v>48</v>
      </c>
      <c r="Q1" s="2" t="s">
        <v>9</v>
      </c>
      <c r="R1" s="2" t="s">
        <v>27</v>
      </c>
      <c r="S1" s="3" t="s">
        <v>28</v>
      </c>
      <c r="T1" s="2" t="s">
        <v>29</v>
      </c>
      <c r="U1" s="3" t="s">
        <v>30</v>
      </c>
      <c r="V1" s="2" t="s">
        <v>31</v>
      </c>
      <c r="W1" s="3" t="s">
        <v>32</v>
      </c>
      <c r="X1" s="2" t="s">
        <v>33</v>
      </c>
      <c r="Y1" s="3" t="s">
        <v>34</v>
      </c>
      <c r="Z1" s="3" t="s">
        <v>35</v>
      </c>
      <c r="AA1" s="2" t="s">
        <v>36</v>
      </c>
      <c r="AB1" s="2" t="s">
        <v>37</v>
      </c>
      <c r="AC1" s="4" t="s">
        <v>38</v>
      </c>
    </row>
    <row r="2" spans="1:31" x14ac:dyDescent="0.25">
      <c r="A2" s="23" t="s">
        <v>11</v>
      </c>
      <c r="B2" s="24">
        <v>43262.625</v>
      </c>
      <c r="C2" s="25">
        <v>43301.92083333333</v>
      </c>
      <c r="D2" s="26">
        <v>6.96</v>
      </c>
      <c r="E2" s="27">
        <v>7</v>
      </c>
      <c r="F2" s="6">
        <f>D2*(E2/100)</f>
        <v>0.48720000000000002</v>
      </c>
      <c r="G2" s="5">
        <f>D2-$D$17</f>
        <v>-0.84999999999999964</v>
      </c>
      <c r="H2" s="6">
        <f>SQRT((F2^2)+(F$17^2))</f>
        <v>0.70983703064928927</v>
      </c>
      <c r="I2" s="28">
        <f>(C2-B2)*24</f>
        <v>943.09999999991851</v>
      </c>
      <c r="J2" s="14">
        <f>1/60</f>
        <v>1.6666666666666666E-2</v>
      </c>
      <c r="K2" s="7">
        <f>1-EXP(-$AE$3*I2)</f>
        <v>0.99997622071031056</v>
      </c>
      <c r="L2" s="6">
        <f>K2*SQRT(((J2/I2)^2))</f>
        <v>1.7671795509673719E-5</v>
      </c>
      <c r="M2" s="5">
        <f>G2/((1+K2))</f>
        <v>-0.42500505315913906</v>
      </c>
      <c r="N2" s="6">
        <f>M2*SQRT(((H2/G2)^2)+((L2/K2)^2))</f>
        <v>-0.3549227353093844</v>
      </c>
      <c r="O2" s="5">
        <f>M2*K2</f>
        <v>-0.42499494684086053</v>
      </c>
      <c r="P2" s="6">
        <f>O2*SQRT(((N2/M2)^2)+((L2/K2)^2))</f>
        <v>-0.35491429557831283</v>
      </c>
      <c r="Q2" s="5">
        <f>M2+O2</f>
        <v>-0.84999999999999964</v>
      </c>
      <c r="R2" s="5">
        <v>1.1612</v>
      </c>
      <c r="S2" s="6">
        <v>1.4142135623730951E-4</v>
      </c>
      <c r="T2" s="5">
        <f>M2/R2</f>
        <v>-0.3660050406124174</v>
      </c>
      <c r="U2" s="6">
        <f>T2*SQRT(((S2/R2)^2)+((N2/M2)^2))</f>
        <v>-0.30565168711997787</v>
      </c>
      <c r="V2" s="5">
        <f>SUM($T$2:T2)</f>
        <v>-0.3660050406124174</v>
      </c>
      <c r="W2" s="6">
        <f>SQRT((U2^2))</f>
        <v>0.30565168711997787</v>
      </c>
      <c r="X2" s="5">
        <f>M2/60</f>
        <v>-7.0834175526523178E-3</v>
      </c>
      <c r="Y2" s="6">
        <f>X2*SQRT(((N2/M2)^2))</f>
        <v>-5.9153789218230734E-3</v>
      </c>
      <c r="Z2" s="6">
        <f>Y2^2</f>
        <v>3.4991707788748703E-5</v>
      </c>
      <c r="AA2" s="5">
        <f>(C2-$AE$6)*24</f>
        <v>250.09999999991851</v>
      </c>
      <c r="AB2" s="7">
        <f>EXP(-$AE$9*AA2)</f>
        <v>0.99931310025088305</v>
      </c>
      <c r="AC2" s="5">
        <f>X2/AB2</f>
        <v>-7.0882864948673113E-3</v>
      </c>
      <c r="AE2" t="s">
        <v>2</v>
      </c>
    </row>
    <row r="3" spans="1:31" x14ac:dyDescent="0.25">
      <c r="A3" s="21" t="s">
        <v>12</v>
      </c>
      <c r="B3" s="20">
        <v>43262.625</v>
      </c>
      <c r="C3" s="16">
        <v>43301.943749999999</v>
      </c>
      <c r="D3" s="17">
        <v>7.74</v>
      </c>
      <c r="E3" s="18">
        <v>6.64</v>
      </c>
      <c r="F3" s="9">
        <f t="shared" ref="F3:F17" si="0">D3*(E3/100)</f>
        <v>0.51393600000000006</v>
      </c>
      <c r="G3" s="8">
        <f t="shared" ref="G3:G17" si="1">D3-$D$17</f>
        <v>-6.9999999999999396E-2</v>
      </c>
      <c r="H3" s="9">
        <f>SQRT((F3^2)+(F$17^2))</f>
        <v>0.72844696593300473</v>
      </c>
      <c r="I3" s="19">
        <f t="shared" ref="I3:I17" si="2">(C3-B3)*24</f>
        <v>943.64999999996508</v>
      </c>
      <c r="J3" s="15">
        <f t="shared" ref="J3:J17" si="3">1/60</f>
        <v>1.6666666666666666E-2</v>
      </c>
      <c r="K3" s="10">
        <f t="shared" ref="K3:K17" si="4">1-EXP(-$AE$3*I3)</f>
        <v>0.99997636789786637</v>
      </c>
      <c r="L3" s="9">
        <f t="shared" ref="L3:L17" si="5">K3*SQRT(((J3/I3)^2))</f>
        <v>1.7661498223174257E-5</v>
      </c>
      <c r="M3" s="8">
        <f>G3/((1+K3))</f>
        <v>-3.5000413566673765E-2</v>
      </c>
      <c r="N3" s="9">
        <f>M3*SQRT(((H3/G3)^2)+((L3/K3)^2))</f>
        <v>-0.36422778670115458</v>
      </c>
      <c r="O3" s="8">
        <f>M3*K3</f>
        <v>-3.4999586433325638E-2</v>
      </c>
      <c r="P3" s="9">
        <f>O3*SQRT(((N3/M3)^2)+((L3/K3)^2))</f>
        <v>-0.3642191792334239</v>
      </c>
      <c r="Q3" s="8">
        <f t="shared" ref="Q3:Q17" si="6">M3+O3</f>
        <v>-6.9999999999999396E-2</v>
      </c>
      <c r="R3" s="8">
        <v>1.1249000000000002</v>
      </c>
      <c r="S3" s="9">
        <v>1.4142135623730951E-4</v>
      </c>
      <c r="T3" s="8">
        <f>M3/R3</f>
        <v>-3.111424443654881E-2</v>
      </c>
      <c r="U3" s="9">
        <f t="shared" ref="U3:U16" si="7">T3*SQRT(((S3/R3)^2)+((N3/M3)^2))</f>
        <v>-0.32378681369698098</v>
      </c>
      <c r="V3" s="8">
        <f>SUM($T$2:T3)</f>
        <v>-0.39711928504896621</v>
      </c>
      <c r="W3" s="9">
        <f>SQRT((U3^2)+(U2^2))</f>
        <v>0.44526492626674774</v>
      </c>
      <c r="X3" s="8">
        <f>M3/60</f>
        <v>-5.8334022611122936E-4</v>
      </c>
      <c r="Y3" s="9">
        <f t="shared" ref="Y3:Y16" si="8">X3*SQRT(((N3/M3)^2))</f>
        <v>-6.0704631116859087E-3</v>
      </c>
      <c r="Z3" s="9">
        <f t="shared" ref="Z3:Z16" si="9">Y3^2</f>
        <v>3.6850522390339368E-5</v>
      </c>
      <c r="AA3" s="8">
        <f>(C3-$AE$6)*24</f>
        <v>250.64999999996508</v>
      </c>
      <c r="AB3" s="10">
        <f>EXP(-$AE$9*AA3)</f>
        <v>0.99931159019573157</v>
      </c>
      <c r="AC3" s="8">
        <f t="shared" ref="AC3:AC16" si="10">X3/AB3</f>
        <v>-5.8374207988218425E-4</v>
      </c>
      <c r="AE3">
        <f>LN(2)/61.4</f>
        <v>1.1289042028663604E-2</v>
      </c>
    </row>
    <row r="4" spans="1:31" x14ac:dyDescent="0.25">
      <c r="A4" s="21" t="s">
        <v>13</v>
      </c>
      <c r="B4" s="20">
        <v>43262.625</v>
      </c>
      <c r="C4" s="16">
        <v>43301.966666608794</v>
      </c>
      <c r="D4" s="17">
        <v>7.43</v>
      </c>
      <c r="E4" s="18">
        <v>6.77</v>
      </c>
      <c r="F4" s="9">
        <f t="shared" si="0"/>
        <v>0.50301099999999999</v>
      </c>
      <c r="G4" s="8">
        <f t="shared" si="1"/>
        <v>-0.37999999999999989</v>
      </c>
      <c r="H4" s="9">
        <f t="shared" ref="H4:H17" si="11">SQRT((F4^2)+(F$17^2))</f>
        <v>0.72078071297864232</v>
      </c>
      <c r="I4" s="19">
        <f t="shared" si="2"/>
        <v>944.19999861106044</v>
      </c>
      <c r="J4" s="15">
        <f t="shared" si="3"/>
        <v>1.6666666666666666E-2</v>
      </c>
      <c r="K4" s="10">
        <f t="shared" si="4"/>
        <v>0.99997651417400157</v>
      </c>
      <c r="L4" s="9">
        <f t="shared" si="5"/>
        <v>1.7651212942967408E-5</v>
      </c>
      <c r="M4" s="8">
        <f>G4/((1+K4))</f>
        <v>-0.19000223117967036</v>
      </c>
      <c r="N4" s="9">
        <f>M4*SQRT(((H4/G4)^2)+((L4/K4)^2))</f>
        <v>-0.36039458858722567</v>
      </c>
      <c r="O4" s="8">
        <f>M4*K4</f>
        <v>-0.18999776882032957</v>
      </c>
      <c r="P4" s="9">
        <f>O4*SQRT(((N4/M4)^2)+((L4/K4)^2))</f>
        <v>-0.36038612443823254</v>
      </c>
      <c r="Q4" s="8">
        <f t="shared" si="6"/>
        <v>-0.37999999999999989</v>
      </c>
      <c r="R4" s="8">
        <v>1.1776999999999997</v>
      </c>
      <c r="S4" s="9">
        <v>1.4142135623730951E-4</v>
      </c>
      <c r="T4" s="8">
        <f>M4/R4</f>
        <v>-0.16133330320087491</v>
      </c>
      <c r="U4" s="9">
        <f t="shared" si="7"/>
        <v>-0.3060156145957767</v>
      </c>
      <c r="V4" s="8">
        <f>SUM($T$2:T4)</f>
        <v>-0.55845258824984112</v>
      </c>
      <c r="W4" s="9">
        <f>SQRT((U4^2)+(U3^2)+(U2^2))</f>
        <v>0.54028363934119206</v>
      </c>
      <c r="X4" s="8">
        <f>M4/60</f>
        <v>-3.1667038529945061E-3</v>
      </c>
      <c r="Y4" s="9">
        <f t="shared" si="8"/>
        <v>-6.0065764764537614E-3</v>
      </c>
      <c r="Z4" s="9">
        <f t="shared" si="9"/>
        <v>3.6078960967487682E-5</v>
      </c>
      <c r="AA4" s="8">
        <f>(C4-$AE$6)*24</f>
        <v>251.19999861106044</v>
      </c>
      <c r="AB4" s="10">
        <f>EXP(-$AE$9*AA4)</f>
        <v>0.99931008014667533</v>
      </c>
      <c r="AC4" s="8">
        <f t="shared" si="10"/>
        <v>-3.1688901332104125E-3</v>
      </c>
    </row>
    <row r="5" spans="1:31" x14ac:dyDescent="0.25">
      <c r="A5" s="21" t="s">
        <v>14</v>
      </c>
      <c r="B5" s="20">
        <v>43262.625</v>
      </c>
      <c r="C5" s="16">
        <v>43301.989583275463</v>
      </c>
      <c r="D5" s="17">
        <v>7.6</v>
      </c>
      <c r="E5" s="18">
        <v>6.7</v>
      </c>
      <c r="F5" s="9">
        <f t="shared" si="0"/>
        <v>0.50919999999999999</v>
      </c>
      <c r="G5" s="8">
        <f t="shared" si="1"/>
        <v>-0.20999999999999996</v>
      </c>
      <c r="H5" s="9">
        <f t="shared" si="11"/>
        <v>0.7251133773976316</v>
      </c>
      <c r="I5" s="19">
        <f t="shared" si="2"/>
        <v>944.749998611107</v>
      </c>
      <c r="J5" s="15">
        <f t="shared" si="3"/>
        <v>1.6666666666666666E-2</v>
      </c>
      <c r="K5" s="10">
        <f t="shared" si="4"/>
        <v>0.99997665954509418</v>
      </c>
      <c r="L5" s="9">
        <f t="shared" si="5"/>
        <v>1.7640939596280792E-5</v>
      </c>
      <c r="M5" s="8">
        <f>G5/((1+K5))</f>
        <v>-0.10500122538818309</v>
      </c>
      <c r="N5" s="9">
        <f>M5*SQRT(((H5/G5)^2)+((L5/K5)^2))</f>
        <v>-0.36256091987194811</v>
      </c>
      <c r="O5" s="8">
        <f>M5*K5</f>
        <v>-0.10499877461181686</v>
      </c>
      <c r="P5" s="9">
        <f>O5*SQRT(((N5/M5)^2)+((L5/K5)^2))</f>
        <v>-0.36255245753987914</v>
      </c>
      <c r="Q5" s="8">
        <f t="shared" si="6"/>
        <v>-0.20999999999999996</v>
      </c>
      <c r="R5" s="8">
        <v>0.99540000000000006</v>
      </c>
      <c r="S5" s="9">
        <v>1.4142135623730951E-4</v>
      </c>
      <c r="T5" s="8">
        <f>M5/R5</f>
        <v>-0.10548646311852831</v>
      </c>
      <c r="U5" s="9">
        <f t="shared" si="7"/>
        <v>-0.36423640765406784</v>
      </c>
      <c r="V5" s="8">
        <f>SUM($T$2:T5)</f>
        <v>-0.66393905136836939</v>
      </c>
      <c r="W5" s="9">
        <f>SQRT((U5^2)+(U4^2)+(U3^2)+(U2^2))</f>
        <v>0.65159387013729919</v>
      </c>
      <c r="X5" s="8">
        <f>M5/60</f>
        <v>-1.7500204231363848E-3</v>
      </c>
      <c r="Y5" s="9">
        <f t="shared" si="8"/>
        <v>-6.0426819978658024E-3</v>
      </c>
      <c r="Z5" s="9">
        <f t="shared" si="9"/>
        <v>3.6514005727331447E-5</v>
      </c>
      <c r="AA5" s="8">
        <f>(C5-$AE$6)*24</f>
        <v>251.749998611107</v>
      </c>
      <c r="AB5" s="10">
        <f>EXP(-$AE$9*AA5)</f>
        <v>0.99930857009608753</v>
      </c>
      <c r="AC5" s="8">
        <f t="shared" si="10"/>
        <v>-1.7512312768098379E-3</v>
      </c>
    </row>
    <row r="6" spans="1:31" x14ac:dyDescent="0.25">
      <c r="A6" s="21" t="s">
        <v>15</v>
      </c>
      <c r="B6" s="20">
        <v>43262.625</v>
      </c>
      <c r="C6" s="16">
        <v>43302.012499942131</v>
      </c>
      <c r="D6" s="17">
        <v>10.27</v>
      </c>
      <c r="E6" s="18">
        <v>5.76</v>
      </c>
      <c r="F6" s="9">
        <f t="shared" si="0"/>
        <v>0.59155199999999997</v>
      </c>
      <c r="G6" s="8">
        <f t="shared" si="1"/>
        <v>2.46</v>
      </c>
      <c r="H6" s="9">
        <f t="shared" si="11"/>
        <v>0.7851360001840445</v>
      </c>
      <c r="I6" s="19">
        <f t="shared" si="2"/>
        <v>945.29999861115357</v>
      </c>
      <c r="J6" s="15">
        <f t="shared" si="3"/>
        <v>1.6666666666666666E-2</v>
      </c>
      <c r="K6" s="10">
        <f t="shared" si="4"/>
        <v>0.9999768040163779</v>
      </c>
      <c r="L6" s="9">
        <f t="shared" si="5"/>
        <v>1.7630678188327446E-5</v>
      </c>
      <c r="M6" s="8">
        <f>G6/((1+K6))</f>
        <v>1.230014265695381</v>
      </c>
      <c r="N6" s="9">
        <f>M6*SQRT(((H6/G6)^2)+((L6/K6)^2))</f>
        <v>0.39257255374428124</v>
      </c>
      <c r="O6" s="8">
        <f>M6*K6</f>
        <v>1.229985734304619</v>
      </c>
      <c r="P6" s="9">
        <f>O6*SQRT(((N6/M6)^2)+((L6/K6)^2))</f>
        <v>0.39256344823674261</v>
      </c>
      <c r="Q6" s="8">
        <f t="shared" si="6"/>
        <v>2.46</v>
      </c>
      <c r="R6" s="8">
        <v>0.90620000000000012</v>
      </c>
      <c r="S6" s="9">
        <v>1.4142135623730951E-4</v>
      </c>
      <c r="T6" s="8">
        <f>M6/R6</f>
        <v>1.3573320080505196</v>
      </c>
      <c r="U6" s="9">
        <f t="shared" si="7"/>
        <v>0.43320746046619002</v>
      </c>
      <c r="V6" s="8">
        <f>SUM($T$2:T6)</f>
        <v>0.69339295668215017</v>
      </c>
      <c r="W6" s="9">
        <f>SQRT((U6^2)+(U5^2)+(U4^2)+(U3^2)+(U2^2))</f>
        <v>0.78245975960688818</v>
      </c>
      <c r="X6" s="8">
        <f>M6/60</f>
        <v>2.0500237761589681E-2</v>
      </c>
      <c r="Y6" s="9">
        <f t="shared" si="8"/>
        <v>6.5428758957380203E-3</v>
      </c>
      <c r="Z6" s="9">
        <f t="shared" si="9"/>
        <v>4.28092249870296E-5</v>
      </c>
      <c r="AA6" s="8">
        <f>(C6-$AE$6)*24</f>
        <v>252.29999861115357</v>
      </c>
      <c r="AB6" s="10">
        <f>EXP(-$AE$9*AA6)</f>
        <v>0.99930706004778147</v>
      </c>
      <c r="AC6" s="8">
        <f t="shared" si="10"/>
        <v>2.0514453045702961E-2</v>
      </c>
      <c r="AE6" s="1">
        <v>43291.5</v>
      </c>
    </row>
    <row r="7" spans="1:31" x14ac:dyDescent="0.25">
      <c r="A7" s="21" t="s">
        <v>16</v>
      </c>
      <c r="B7" s="20">
        <v>43262.625</v>
      </c>
      <c r="C7" s="16">
        <v>43302.035416608793</v>
      </c>
      <c r="D7" s="17">
        <v>163.06</v>
      </c>
      <c r="E7" s="18">
        <v>1.45</v>
      </c>
      <c r="F7" s="9">
        <f t="shared" si="0"/>
        <v>2.3643700000000001</v>
      </c>
      <c r="G7" s="8">
        <f t="shared" si="1"/>
        <v>155.25</v>
      </c>
      <c r="H7" s="9">
        <f t="shared" si="11"/>
        <v>2.4200723681288956</v>
      </c>
      <c r="I7" s="19">
        <f t="shared" si="2"/>
        <v>945.84999861102551</v>
      </c>
      <c r="J7" s="15">
        <f t="shared" si="3"/>
        <v>1.6666666666666666E-2</v>
      </c>
      <c r="K7" s="10">
        <f t="shared" si="4"/>
        <v>0.99997694759342237</v>
      </c>
      <c r="L7" s="9">
        <f t="shared" si="5"/>
        <v>1.7620428698382089E-5</v>
      </c>
      <c r="M7" s="8">
        <f>G7/((1+K7))</f>
        <v>77.625894731843161</v>
      </c>
      <c r="N7" s="9">
        <f>M7*SQRT(((H7/G7)^2)+((L7/K7)^2))</f>
        <v>1.2100509044429668</v>
      </c>
      <c r="O7" s="8">
        <f>M7*K7</f>
        <v>77.624105268156853</v>
      </c>
      <c r="P7" s="9">
        <f>O7*SQRT(((N7/M7)^2)+((L7/K7)^2))</f>
        <v>1.2100237829339378</v>
      </c>
      <c r="Q7" s="8">
        <f t="shared" si="6"/>
        <v>155.25</v>
      </c>
      <c r="R7" s="8">
        <v>0.92790000000000017</v>
      </c>
      <c r="S7" s="9">
        <v>1.4142135623730951E-4</v>
      </c>
      <c r="T7" s="8">
        <f>M7/R7</f>
        <v>83.657608289517341</v>
      </c>
      <c r="U7" s="9">
        <f t="shared" si="7"/>
        <v>1.3041370193546842</v>
      </c>
      <c r="V7" s="8">
        <f>SUM($T$2:T7)</f>
        <v>84.351001246199488</v>
      </c>
      <c r="W7" s="9">
        <f>SQRT((U7^2)+(U6^2)+(U5^2)+(U4^2)+(U3^2)+(U2^2))</f>
        <v>1.5208604934889292</v>
      </c>
      <c r="X7" s="8">
        <f>M7/60</f>
        <v>1.293764912197386</v>
      </c>
      <c r="Y7" s="9">
        <f t="shared" si="8"/>
        <v>2.0167515074049448E-2</v>
      </c>
      <c r="Z7" s="9">
        <f t="shared" si="9"/>
        <v>4.0672866426201169E-4</v>
      </c>
      <c r="AA7" s="8">
        <f>(C7-$AE$6)*24</f>
        <v>252.84999861102551</v>
      </c>
      <c r="AB7" s="10">
        <f>EXP(-$AE$9*AA7)</f>
        <v>0.9993055500017578</v>
      </c>
      <c r="AC7" s="8">
        <f t="shared" si="10"/>
        <v>1.2946639916040796</v>
      </c>
    </row>
    <row r="8" spans="1:31" x14ac:dyDescent="0.25">
      <c r="A8" s="21" t="s">
        <v>17</v>
      </c>
      <c r="B8" s="20">
        <v>43262.625</v>
      </c>
      <c r="C8" s="16">
        <v>43302.058333275461</v>
      </c>
      <c r="D8" s="17">
        <v>629.12</v>
      </c>
      <c r="E8" s="18">
        <v>0.74</v>
      </c>
      <c r="F8" s="9">
        <f t="shared" si="0"/>
        <v>4.6554880000000001</v>
      </c>
      <c r="G8" s="8">
        <f t="shared" si="1"/>
        <v>621.31000000000006</v>
      </c>
      <c r="H8" s="9">
        <f t="shared" si="11"/>
        <v>4.684023194671969</v>
      </c>
      <c r="I8" s="19">
        <f t="shared" si="2"/>
        <v>946.39999861107208</v>
      </c>
      <c r="J8" s="15">
        <f t="shared" si="3"/>
        <v>1.6666666666666666E-2</v>
      </c>
      <c r="K8" s="10">
        <f t="shared" si="4"/>
        <v>0.99997709028176263</v>
      </c>
      <c r="L8" s="9">
        <f t="shared" si="5"/>
        <v>1.7610191105757252E-5</v>
      </c>
      <c r="M8" s="8">
        <f>G8/((1+K8))</f>
        <v>310.65855855002224</v>
      </c>
      <c r="N8" s="9">
        <f>M8*SQRT(((H8/G8)^2)+((L8/K8)^2))</f>
        <v>2.3420448148975912</v>
      </c>
      <c r="O8" s="8">
        <f>M8*K8</f>
        <v>310.65144144997782</v>
      </c>
      <c r="P8" s="9">
        <f>O8*SQRT(((N8/M8)^2)+((L8/K8)^2))</f>
        <v>2.3419975489883571</v>
      </c>
      <c r="Q8" s="8">
        <f t="shared" si="6"/>
        <v>621.31000000000006</v>
      </c>
      <c r="R8" s="8">
        <v>0.92370000000000019</v>
      </c>
      <c r="S8" s="9">
        <v>1.4142135623730951E-4</v>
      </c>
      <c r="T8" s="8">
        <f>M8/R8</f>
        <v>336.31975592727309</v>
      </c>
      <c r="U8" s="9">
        <f t="shared" si="7"/>
        <v>2.5360265490164542</v>
      </c>
      <c r="V8" s="8">
        <f>SUM($T$2:T8)</f>
        <v>420.67075717347257</v>
      </c>
      <c r="W8" s="9">
        <f>SQRT((U8^2)+(U7^2)+(U6^2)+(U5^2)+(U4^2)+(U3^2)+(U2^2))</f>
        <v>2.9571011646495449</v>
      </c>
      <c r="X8" s="8">
        <f>M8/60</f>
        <v>5.1776426425003708</v>
      </c>
      <c r="Y8" s="9">
        <f t="shared" si="8"/>
        <v>3.9034080248293183E-2</v>
      </c>
      <c r="Z8" s="9">
        <f t="shared" si="9"/>
        <v>1.523659420830192E-3</v>
      </c>
      <c r="AA8" s="8">
        <f>(C8-$AE$6)*24</f>
        <v>253.39999861107208</v>
      </c>
      <c r="AB8" s="10">
        <f>EXP(-$AE$9*AA8)</f>
        <v>0.99930403995801542</v>
      </c>
      <c r="AC8" s="8">
        <f t="shared" si="10"/>
        <v>5.18124858448276</v>
      </c>
      <c r="AE8" t="s">
        <v>41</v>
      </c>
    </row>
    <row r="9" spans="1:31" x14ac:dyDescent="0.25">
      <c r="A9" s="21" t="s">
        <v>18</v>
      </c>
      <c r="B9" s="20">
        <v>43262.625</v>
      </c>
      <c r="C9" s="16">
        <v>43302.08124994213</v>
      </c>
      <c r="D9" s="17">
        <v>429.53</v>
      </c>
      <c r="E9" s="18">
        <v>0.89</v>
      </c>
      <c r="F9" s="9">
        <f t="shared" si="0"/>
        <v>3.8228169999999997</v>
      </c>
      <c r="G9" s="8">
        <f t="shared" si="1"/>
        <v>421.71999999999997</v>
      </c>
      <c r="H9" s="9">
        <f t="shared" si="11"/>
        <v>3.8575166345163048</v>
      </c>
      <c r="I9" s="19">
        <f t="shared" si="2"/>
        <v>946.94999861111864</v>
      </c>
      <c r="J9" s="15">
        <f t="shared" si="3"/>
        <v>1.6666666666666666E-2</v>
      </c>
      <c r="K9" s="10">
        <f t="shared" si="4"/>
        <v>0.99997723208689948</v>
      </c>
      <c r="L9" s="9">
        <f t="shared" si="5"/>
        <v>1.7599965389822681E-5</v>
      </c>
      <c r="M9" s="8">
        <f>G9/((1+K9))</f>
        <v>210.8624004484048</v>
      </c>
      <c r="N9" s="9">
        <f>M9*SQRT(((H9/G9)^2)+((L9/K9)^2))</f>
        <v>1.9287838449049237</v>
      </c>
      <c r="O9" s="8">
        <f>M9*K9</f>
        <v>210.85759955159523</v>
      </c>
      <c r="P9" s="9">
        <f>O9*SQRT(((N9/M9)^2)+((L9/K9)^2))</f>
        <v>1.9287435009299831</v>
      </c>
      <c r="Q9" s="8">
        <f t="shared" si="6"/>
        <v>421.72</v>
      </c>
      <c r="R9" s="8">
        <v>0.87990000000000013</v>
      </c>
      <c r="S9" s="9">
        <v>1.4142135623730951E-4</v>
      </c>
      <c r="T9" s="8">
        <f>M9/R9</f>
        <v>239.64359637277505</v>
      </c>
      <c r="U9" s="9">
        <f t="shared" si="7"/>
        <v>2.1923872819736103</v>
      </c>
      <c r="V9" s="8">
        <f>SUM($T$2:T9)</f>
        <v>660.31435354624762</v>
      </c>
      <c r="W9" s="9">
        <f>SQRT((U9^2)+(U8^2)+(U7^2)+(U6^2)+(U5^2)+(U4^2)+(U3^2)+(U2^2))</f>
        <v>3.6811695549283425</v>
      </c>
      <c r="X9" s="8">
        <f>M9/60</f>
        <v>3.5143733408067468</v>
      </c>
      <c r="Y9" s="9">
        <f t="shared" si="8"/>
        <v>3.2146397415082066E-2</v>
      </c>
      <c r="Z9" s="9">
        <f t="shared" si="9"/>
        <v>1.033390866768395E-3</v>
      </c>
      <c r="AA9" s="8">
        <f>(C9-$AE$6)*24</f>
        <v>253.94999861111864</v>
      </c>
      <c r="AB9" s="10">
        <f>EXP(-$AE$9*AA9)</f>
        <v>0.99930252991655488</v>
      </c>
      <c r="AC9" s="8">
        <f t="shared" si="10"/>
        <v>3.5168262218851871</v>
      </c>
      <c r="AE9">
        <f>LN(2)/252288</f>
        <v>2.7474441137110973E-6</v>
      </c>
    </row>
    <row r="10" spans="1:31" x14ac:dyDescent="0.25">
      <c r="A10" s="21" t="s">
        <v>19</v>
      </c>
      <c r="B10" s="20">
        <v>43262.625</v>
      </c>
      <c r="C10" s="16">
        <v>43302.104166608799</v>
      </c>
      <c r="D10" s="17">
        <v>144.63</v>
      </c>
      <c r="E10" s="18">
        <v>1.54</v>
      </c>
      <c r="F10" s="9">
        <f t="shared" si="0"/>
        <v>2.2273019999999999</v>
      </c>
      <c r="G10" s="8">
        <f t="shared" si="1"/>
        <v>136.82</v>
      </c>
      <c r="H10" s="9">
        <f t="shared" si="11"/>
        <v>2.2863462050365424</v>
      </c>
      <c r="I10" s="19">
        <f t="shared" si="2"/>
        <v>947.49999861116521</v>
      </c>
      <c r="J10" s="15">
        <f t="shared" si="3"/>
        <v>1.6666666666666666E-2</v>
      </c>
      <c r="K10" s="10">
        <f t="shared" si="4"/>
        <v>0.9999773730142999</v>
      </c>
      <c r="L10" s="9">
        <f t="shared" si="5"/>
        <v>1.7589751529992179E-5</v>
      </c>
      <c r="M10" s="8">
        <f>G10/((1+K10))</f>
        <v>68.410773964802118</v>
      </c>
      <c r="N10" s="9">
        <f>M10*SQRT(((H10/G10)^2)+((L10/K10)^2))</f>
        <v>1.1431866692913326</v>
      </c>
      <c r="O10" s="8">
        <f>M10*K10</f>
        <v>68.409226035197889</v>
      </c>
      <c r="P10" s="9">
        <f>O10*SQRT(((N10/M10)^2)+((L10/K10)^2))</f>
        <v>1.1431614357542501</v>
      </c>
      <c r="Q10" s="8">
        <f t="shared" si="6"/>
        <v>136.82</v>
      </c>
      <c r="R10" s="8">
        <v>0.92700000000000049</v>
      </c>
      <c r="S10" s="9">
        <v>1.4142135623730951E-4</v>
      </c>
      <c r="T10" s="8">
        <f>M10/R10</f>
        <v>73.798030166992532</v>
      </c>
      <c r="U10" s="9">
        <f t="shared" si="7"/>
        <v>1.2332624685743097</v>
      </c>
      <c r="V10" s="8">
        <f>SUM($T$2:T10)</f>
        <v>734.11238371324021</v>
      </c>
      <c r="W10" s="9">
        <f>SQRT((U10^2)+(U9^2)+(U8^2)+(U7^2)+(U6^2)+(U5^2)+(U4^2)+(U3^2)+(U2^2))</f>
        <v>3.882260373612946</v>
      </c>
      <c r="X10" s="8">
        <f>M10/60</f>
        <v>1.1401795660800353</v>
      </c>
      <c r="Y10" s="9">
        <f t="shared" si="8"/>
        <v>1.9053111154855546E-2</v>
      </c>
      <c r="Z10" s="9">
        <f t="shared" si="9"/>
        <v>3.6302104467928083E-4</v>
      </c>
      <c r="AA10" s="8">
        <f>(C10-$AE$6)*24</f>
        <v>254.49999861116521</v>
      </c>
      <c r="AB10" s="10">
        <f>EXP(-$AE$9*AA10)</f>
        <v>0.99930101987737618</v>
      </c>
      <c r="AC10" s="8">
        <f t="shared" si="10"/>
        <v>1.1409770863837869</v>
      </c>
    </row>
    <row r="11" spans="1:31" x14ac:dyDescent="0.25">
      <c r="A11" s="21" t="s">
        <v>20</v>
      </c>
      <c r="B11" s="20">
        <v>43262.625</v>
      </c>
      <c r="C11" s="16">
        <v>43302.12708327546</v>
      </c>
      <c r="D11" s="17">
        <v>40.630000000000003</v>
      </c>
      <c r="E11" s="18">
        <v>2.9</v>
      </c>
      <c r="F11" s="9">
        <f t="shared" si="0"/>
        <v>1.1782699999999999</v>
      </c>
      <c r="G11" s="8">
        <f t="shared" si="1"/>
        <v>32.82</v>
      </c>
      <c r="H11" s="9">
        <f t="shared" si="11"/>
        <v>1.2864000011586598</v>
      </c>
      <c r="I11" s="19">
        <f t="shared" si="2"/>
        <v>948.04999861103715</v>
      </c>
      <c r="J11" s="15">
        <f t="shared" si="3"/>
        <v>1.6666666666666666E-2</v>
      </c>
      <c r="K11" s="10">
        <f t="shared" si="4"/>
        <v>0.99997751306939664</v>
      </c>
      <c r="L11" s="9">
        <f t="shared" si="5"/>
        <v>1.7579549505729956E-5</v>
      </c>
      <c r="M11" s="8">
        <f>G11/((1+K11))</f>
        <v>16.410184507340102</v>
      </c>
      <c r="N11" s="9">
        <f>M11*SQRT(((H11/G11)^2)+((L11/K11)^2))</f>
        <v>0.64320729715406266</v>
      </c>
      <c r="O11" s="8">
        <f>M11*K11</f>
        <v>16.409815492659895</v>
      </c>
      <c r="P11" s="9">
        <f>O11*SQRT(((N11/M11)^2)+((L11/K11)^2))</f>
        <v>0.64319289809127933</v>
      </c>
      <c r="Q11" s="8">
        <f t="shared" si="6"/>
        <v>32.819999999999993</v>
      </c>
      <c r="R11" s="8">
        <v>0.93469999999999942</v>
      </c>
      <c r="S11" s="9">
        <v>1.4142135623730951E-4</v>
      </c>
      <c r="T11" s="8">
        <f>M11/R11</f>
        <v>17.556632617246294</v>
      </c>
      <c r="U11" s="9">
        <f t="shared" si="7"/>
        <v>0.68814816443574256</v>
      </c>
      <c r="V11" s="8">
        <f>SUM($T$2:T11)</f>
        <v>751.66901633048656</v>
      </c>
      <c r="W11" s="9">
        <f>SQRT((U11^2)+(U10^2)+(U9^2)+(U8^2)+(U7^2)+(U6^2)+(U5^2)+(U4^2)+(U3^2)+(U2^2))</f>
        <v>3.9427773846289638</v>
      </c>
      <c r="X11" s="8">
        <f>M11/60</f>
        <v>0.27350307512233502</v>
      </c>
      <c r="Y11" s="9">
        <f t="shared" si="8"/>
        <v>1.0720121619234376E-2</v>
      </c>
      <c r="Z11" s="9">
        <f t="shared" si="9"/>
        <v>1.1492100753117626E-4</v>
      </c>
      <c r="AA11" s="8">
        <f>(C11-$AE$6)*24</f>
        <v>255.04999861103715</v>
      </c>
      <c r="AB11" s="10">
        <f>EXP(-$AE$9*AA11)</f>
        <v>0.99929950984047977</v>
      </c>
      <c r="AC11" s="8">
        <f t="shared" si="10"/>
        <v>0.27369479563338811</v>
      </c>
    </row>
    <row r="12" spans="1:31" x14ac:dyDescent="0.25">
      <c r="A12" s="21" t="s">
        <v>21</v>
      </c>
      <c r="B12" s="20">
        <v>43262.625</v>
      </c>
      <c r="C12" s="16">
        <v>43302.149999942128</v>
      </c>
      <c r="D12" s="17">
        <v>17.16</v>
      </c>
      <c r="E12" s="18">
        <v>4.46</v>
      </c>
      <c r="F12" s="9">
        <f t="shared" si="0"/>
        <v>0.76533600000000002</v>
      </c>
      <c r="G12" s="8">
        <f t="shared" si="1"/>
        <v>9.3500000000000014</v>
      </c>
      <c r="H12" s="9">
        <f t="shared" si="11"/>
        <v>0.92317060339733525</v>
      </c>
      <c r="I12" s="19">
        <f t="shared" si="2"/>
        <v>948.59999861108372</v>
      </c>
      <c r="J12" s="15">
        <f t="shared" si="3"/>
        <v>1.6666666666666666E-2</v>
      </c>
      <c r="K12" s="10">
        <f t="shared" si="4"/>
        <v>0.99997765225758928</v>
      </c>
      <c r="L12" s="9">
        <f t="shared" si="5"/>
        <v>1.7569359296537554E-5</v>
      </c>
      <c r="M12" s="8">
        <f>G12/((1+K12))</f>
        <v>4.6750522384315918</v>
      </c>
      <c r="N12" s="9">
        <f>M12*SQRT(((H12/G12)^2)+((L12/K12)^2))</f>
        <v>0.46159046675932813</v>
      </c>
      <c r="O12" s="8">
        <f>M12*K12</f>
        <v>4.6749477615684105</v>
      </c>
      <c r="P12" s="9">
        <f>O12*SQRT(((N12/M12)^2)+((L12/K12)^2))</f>
        <v>0.46158015856263124</v>
      </c>
      <c r="Q12" s="8">
        <f t="shared" si="6"/>
        <v>9.3500000000000014</v>
      </c>
      <c r="R12" s="8">
        <v>0.93149999999999977</v>
      </c>
      <c r="S12" s="9">
        <v>1.4142135623730951E-4</v>
      </c>
      <c r="T12" s="8">
        <f>M12/R12</f>
        <v>5.0188429827499652</v>
      </c>
      <c r="U12" s="9">
        <f t="shared" si="7"/>
        <v>0.49553517171714823</v>
      </c>
      <c r="V12" s="8">
        <f>SUM($T$2:T12)</f>
        <v>756.68785931323657</v>
      </c>
      <c r="W12" s="9">
        <f>SQRT((U12^2)+(U11^2)+(U10^2)+(U9^2)+(U8^2)+(U7^2)+(U6^2)+(U5^2)+(U4^2)+(U3^2)+(U2^2))</f>
        <v>3.9737952402143666</v>
      </c>
      <c r="X12" s="8">
        <f>M12/60</f>
        <v>7.7917537307193196E-2</v>
      </c>
      <c r="Y12" s="9">
        <f t="shared" si="8"/>
        <v>7.693174445988802E-3</v>
      </c>
      <c r="Z12" s="9">
        <f t="shared" si="9"/>
        <v>5.9184933056415112E-5</v>
      </c>
      <c r="AA12" s="8">
        <f>(C12-$AE$6)*24</f>
        <v>255.59999861108372</v>
      </c>
      <c r="AB12" s="10">
        <f>EXP(-$AE$9*AA12)</f>
        <v>0.99929799980586465</v>
      </c>
      <c r="AC12" s="8">
        <f t="shared" si="10"/>
        <v>7.7972273858579091E-2</v>
      </c>
    </row>
    <row r="13" spans="1:31" x14ac:dyDescent="0.25">
      <c r="A13" s="21" t="s">
        <v>22</v>
      </c>
      <c r="B13" s="20">
        <v>43262.625</v>
      </c>
      <c r="C13" s="16">
        <v>43302.172916608797</v>
      </c>
      <c r="D13" s="17">
        <v>14.05</v>
      </c>
      <c r="E13" s="18">
        <v>4.93</v>
      </c>
      <c r="F13" s="9">
        <f t="shared" si="0"/>
        <v>0.69266499999999998</v>
      </c>
      <c r="G13" s="8">
        <f t="shared" si="1"/>
        <v>6.2400000000000011</v>
      </c>
      <c r="H13" s="9">
        <f t="shared" si="11"/>
        <v>0.86388053126922593</v>
      </c>
      <c r="I13" s="19">
        <f t="shared" si="2"/>
        <v>949.14999861113029</v>
      </c>
      <c r="J13" s="15">
        <f t="shared" si="3"/>
        <v>1.6666666666666666E-2</v>
      </c>
      <c r="K13" s="10">
        <f t="shared" si="4"/>
        <v>0.99997779058424341</v>
      </c>
      <c r="L13" s="9">
        <f t="shared" si="5"/>
        <v>1.7559180881973136E-5</v>
      </c>
      <c r="M13" s="8">
        <f>G13/((1+K13))</f>
        <v>3.1200346470733265</v>
      </c>
      <c r="N13" s="9">
        <f>M13*SQRT(((H13/G13)^2)+((L13/K13)^2))</f>
        <v>0.43194506573281521</v>
      </c>
      <c r="O13" s="8">
        <f>M13*K13</f>
        <v>3.1199653529266747</v>
      </c>
      <c r="P13" s="9">
        <f>O13*SQRT(((N13/M13)^2)+((L13/K13)^2))</f>
        <v>0.43193547595965559</v>
      </c>
      <c r="Q13" s="8">
        <f t="shared" si="6"/>
        <v>6.2400000000000011</v>
      </c>
      <c r="R13" s="8">
        <v>0.92940000000000023</v>
      </c>
      <c r="S13" s="9">
        <v>1.4142135623730951E-4</v>
      </c>
      <c r="T13" s="8">
        <f>M13/R13</f>
        <v>3.3570417980130469</v>
      </c>
      <c r="U13" s="9">
        <f t="shared" si="7"/>
        <v>0.46475718381674747</v>
      </c>
      <c r="V13" s="8">
        <f>SUM($T$2:T13)</f>
        <v>760.0449011112496</v>
      </c>
      <c r="W13" s="9">
        <f>SQRT((U13^2)+(U12^2)+(U11^2)+(U10^2)+(U9^2)+(U8^2)+(U7^2)+(U6^2)+(U5^2)+(U4^2)+(U3^2)+(U2^2))</f>
        <v>4.000880884387791</v>
      </c>
      <c r="X13" s="8">
        <f>M13/60</f>
        <v>5.2000577451222108E-2</v>
      </c>
      <c r="Y13" s="9">
        <f t="shared" si="8"/>
        <v>7.1990844288802539E-3</v>
      </c>
      <c r="Z13" s="9">
        <f t="shared" si="9"/>
        <v>5.1826816614146131E-5</v>
      </c>
      <c r="AA13" s="8">
        <f>(C13-$AE$6)*24</f>
        <v>256.14999861113029</v>
      </c>
      <c r="AB13" s="10">
        <f>EXP(-$AE$9*AA13)</f>
        <v>0.99929648977353136</v>
      </c>
      <c r="AC13" s="8">
        <f t="shared" si="10"/>
        <v>5.2037186143830946E-2</v>
      </c>
    </row>
    <row r="14" spans="1:31" x14ac:dyDescent="0.25">
      <c r="A14" s="21" t="s">
        <v>23</v>
      </c>
      <c r="B14" s="20">
        <v>43262.625</v>
      </c>
      <c r="C14" s="16">
        <v>43302.195833275466</v>
      </c>
      <c r="D14" s="17">
        <v>11.36</v>
      </c>
      <c r="E14" s="18">
        <v>5.48</v>
      </c>
      <c r="F14" s="9">
        <f t="shared" si="0"/>
        <v>0.62252799999999997</v>
      </c>
      <c r="G14" s="8">
        <f t="shared" si="1"/>
        <v>3.55</v>
      </c>
      <c r="H14" s="9">
        <f t="shared" si="11"/>
        <v>0.80873103122422607</v>
      </c>
      <c r="I14" s="19">
        <f t="shared" si="2"/>
        <v>949.69999861117685</v>
      </c>
      <c r="J14" s="15">
        <f t="shared" si="3"/>
        <v>1.6666666666666666E-2</v>
      </c>
      <c r="K14" s="10">
        <f t="shared" si="4"/>
        <v>0.99997792805469199</v>
      </c>
      <c r="L14" s="9">
        <f t="shared" si="5"/>
        <v>1.7549014241638421E-5</v>
      </c>
      <c r="M14" s="8">
        <f>G14/((1+K14))</f>
        <v>1.775019589067645</v>
      </c>
      <c r="N14" s="9">
        <f>M14*SQRT(((H14/G14)^2)+((L14/K14)^2))</f>
        <v>0.40436997942797115</v>
      </c>
      <c r="O14" s="8">
        <f>M14*K14</f>
        <v>1.7749804109323544</v>
      </c>
      <c r="P14" s="9">
        <f>O14*SQRT(((N14/M14)^2)+((L14/K14)^2))</f>
        <v>0.40436105539571093</v>
      </c>
      <c r="Q14" s="8">
        <f t="shared" si="6"/>
        <v>3.5499999999999994</v>
      </c>
      <c r="R14" s="8">
        <v>0.8606000000000007</v>
      </c>
      <c r="S14" s="9">
        <v>1.4142135623730951E-4</v>
      </c>
      <c r="T14" s="8">
        <f>M14/R14</f>
        <v>2.0625372868552678</v>
      </c>
      <c r="U14" s="9">
        <f t="shared" si="7"/>
        <v>0.46986995657695829</v>
      </c>
      <c r="V14" s="8">
        <f>SUM($T$2:T14)</f>
        <v>762.10743839810482</v>
      </c>
      <c r="W14" s="9">
        <f>SQRT((U14^2)+(U13^2)+(U12^2)+(U11^2)+(U10^2)+(U9^2)+(U8^2)+(U7^2)+(U6^2)+(U5^2)+(U4^2)+(U3^2)+(U2^2))</f>
        <v>4.028377542777398</v>
      </c>
      <c r="X14" s="8">
        <f>M14/60</f>
        <v>2.9583659817794084E-2</v>
      </c>
      <c r="Y14" s="9">
        <f t="shared" si="8"/>
        <v>6.7394996571328528E-3</v>
      </c>
      <c r="Z14" s="9">
        <f t="shared" si="9"/>
        <v>4.542085562849384E-5</v>
      </c>
      <c r="AA14" s="8">
        <f>(C14-$AE$6)*24</f>
        <v>256.69999861117685</v>
      </c>
      <c r="AB14" s="10">
        <f>EXP(-$AE$9*AA14)</f>
        <v>0.99929497974347992</v>
      </c>
      <c r="AC14" s="8">
        <f t="shared" si="10"/>
        <v>2.9604531612265519E-2</v>
      </c>
    </row>
    <row r="15" spans="1:31" x14ac:dyDescent="0.25">
      <c r="A15" s="21" t="s">
        <v>24</v>
      </c>
      <c r="B15" s="20">
        <v>43262.625</v>
      </c>
      <c r="C15" s="16">
        <v>43302.218749942127</v>
      </c>
      <c r="D15" s="17">
        <v>11.9</v>
      </c>
      <c r="E15" s="18">
        <v>5.35</v>
      </c>
      <c r="F15" s="9">
        <f t="shared" si="0"/>
        <v>0.63665000000000005</v>
      </c>
      <c r="G15" s="8">
        <f t="shared" si="1"/>
        <v>4.0900000000000007</v>
      </c>
      <c r="H15" s="9">
        <f t="shared" si="11"/>
        <v>0.81965114077941725</v>
      </c>
      <c r="I15" s="19">
        <f t="shared" si="2"/>
        <v>950.2499986110488</v>
      </c>
      <c r="J15" s="15">
        <f t="shared" si="3"/>
        <v>1.6666666666666666E-2</v>
      </c>
      <c r="K15" s="10">
        <f t="shared" si="4"/>
        <v>0.99997806467423456</v>
      </c>
      <c r="L15" s="9">
        <f t="shared" si="5"/>
        <v>1.7538859355184984E-5</v>
      </c>
      <c r="M15" s="8">
        <f>G15/((1+K15))</f>
        <v>2.0450224291165906</v>
      </c>
      <c r="N15" s="9">
        <f>M15*SQRT(((H15/G15)^2)+((L15/K15)^2))</f>
        <v>0.40983006683728596</v>
      </c>
      <c r="O15" s="8">
        <f>M15*K15</f>
        <v>2.0449775708834101</v>
      </c>
      <c r="P15" s="9">
        <f>O15*SQRT(((N15/M15)^2)+((L15/K15)^2))</f>
        <v>0.40982107865080919</v>
      </c>
      <c r="Q15" s="8">
        <f t="shared" si="6"/>
        <v>4.0900000000000007</v>
      </c>
      <c r="R15" s="8">
        <v>0.95830000000000037</v>
      </c>
      <c r="S15" s="9">
        <v>1.4142135623730951E-4</v>
      </c>
      <c r="T15" s="8">
        <f>M15/R15</f>
        <v>2.134010674232067</v>
      </c>
      <c r="U15" s="9">
        <f t="shared" si="7"/>
        <v>0.42766375660704914</v>
      </c>
      <c r="V15" s="8">
        <f>SUM($T$2:T15)</f>
        <v>764.24144907233688</v>
      </c>
      <c r="W15" s="9">
        <f>SQRT((U15^2)+(U14^2)+(U13^2)+(U12^2)+(U11^2)+(U10^2)+(U9^2)+(U8^2)+(U7^2)+(U6^2)+(U5^2)+(U4^2)+(U3^2)+(U2^2))</f>
        <v>4.0510149241725228</v>
      </c>
      <c r="X15" s="8">
        <f>M15/60</f>
        <v>3.4083707151943178E-2</v>
      </c>
      <c r="Y15" s="9">
        <f t="shared" si="8"/>
        <v>6.8305011139547667E-3</v>
      </c>
      <c r="Z15" s="9">
        <f t="shared" si="9"/>
        <v>4.665574546773731E-5</v>
      </c>
      <c r="AA15" s="8">
        <f>(C15-$AE$6)*24</f>
        <v>257.2499986110488</v>
      </c>
      <c r="AB15" s="10">
        <f>EXP(-$AE$9*AA15)</f>
        <v>0.99929346971571065</v>
      </c>
      <c r="AC15" s="8">
        <f t="shared" si="10"/>
        <v>3.4107805349353142E-2</v>
      </c>
    </row>
    <row r="16" spans="1:31" x14ac:dyDescent="0.25">
      <c r="A16" s="21" t="s">
        <v>25</v>
      </c>
      <c r="B16" s="20">
        <v>43262.625</v>
      </c>
      <c r="C16" s="16">
        <v>43302.241666608796</v>
      </c>
      <c r="D16" s="17">
        <v>10.4</v>
      </c>
      <c r="E16" s="18">
        <v>5.73</v>
      </c>
      <c r="F16" s="9">
        <f t="shared" si="0"/>
        <v>0.59592000000000001</v>
      </c>
      <c r="G16" s="8">
        <f t="shared" si="1"/>
        <v>2.5900000000000007</v>
      </c>
      <c r="H16" s="9">
        <f t="shared" si="11"/>
        <v>0.78843225230897296</v>
      </c>
      <c r="I16" s="19">
        <f t="shared" si="2"/>
        <v>950.79999861109536</v>
      </c>
      <c r="J16" s="15">
        <f t="shared" si="3"/>
        <v>1.6666666666666666E-2</v>
      </c>
      <c r="K16" s="10">
        <f t="shared" si="4"/>
        <v>0.99997820044813812</v>
      </c>
      <c r="L16" s="9">
        <f t="shared" si="5"/>
        <v>1.752871620230124E-5</v>
      </c>
      <c r="M16" s="8">
        <f>G16/((1+K16))</f>
        <v>1.2950141153636852</v>
      </c>
      <c r="N16" s="9">
        <f>M16*SQRT(((H16/G16)^2)+((L16/K16)^2))</f>
        <v>0.39422042372234567</v>
      </c>
      <c r="O16" s="8">
        <f>M16*K16</f>
        <v>1.2949858846363154</v>
      </c>
      <c r="P16" s="9">
        <f>O16*SQRT(((N16/M16)^2)+((L16/K16)^2))</f>
        <v>0.39421183054733994</v>
      </c>
      <c r="Q16" s="8">
        <f t="shared" si="6"/>
        <v>2.5900000000000007</v>
      </c>
      <c r="R16" s="8">
        <v>0.89730000000000043</v>
      </c>
      <c r="S16" s="9">
        <v>1.4142135623730951E-4</v>
      </c>
      <c r="T16" s="8">
        <f>M16/R16</f>
        <v>1.4432342754526741</v>
      </c>
      <c r="U16" s="9">
        <f t="shared" si="7"/>
        <v>0.43934077405427796</v>
      </c>
      <c r="V16" s="8">
        <f>SUM($T$2:T16)</f>
        <v>765.68468334778959</v>
      </c>
      <c r="W16" s="9">
        <f>SQRT((U16^2)+(U15^2)+(U14^2)+(U13^2)+(U12^2)+(U11^2)+(U10^2)+(U9^2)+(U8^2)+(U7^2)+(U6^2)+(U5^2)+(U4^2)+(U3^2)+(U2^2))</f>
        <v>4.0747689789256922</v>
      </c>
      <c r="X16" s="8">
        <f>M16/60</f>
        <v>2.1583568589394753E-2</v>
      </c>
      <c r="Y16" s="9">
        <f t="shared" si="8"/>
        <v>6.5703403953724275E-3</v>
      </c>
      <c r="Z16" s="9">
        <f t="shared" si="9"/>
        <v>4.3169372911062706E-5</v>
      </c>
      <c r="AA16" s="8">
        <f>(C16-$AE$6)*24</f>
        <v>257.79999861109536</v>
      </c>
      <c r="AB16" s="10">
        <f>EXP(-$AE$9*AA16)</f>
        <v>0.99929195969022278</v>
      </c>
      <c r="AC16" s="8">
        <f t="shared" si="10"/>
        <v>2.1598861453949441E-2</v>
      </c>
    </row>
    <row r="17" spans="1:29" ht="15.75" thickBot="1" x14ac:dyDescent="0.3">
      <c r="A17" s="22" t="s">
        <v>26</v>
      </c>
      <c r="B17" s="20">
        <v>43262.625</v>
      </c>
      <c r="C17" s="16">
        <v>43302.264583275464</v>
      </c>
      <c r="D17" s="17">
        <v>7.81</v>
      </c>
      <c r="E17" s="18">
        <v>6.61</v>
      </c>
      <c r="F17" s="9">
        <f t="shared" si="0"/>
        <v>0.51624100000000006</v>
      </c>
      <c r="G17" s="8">
        <f t="shared" si="1"/>
        <v>0</v>
      </c>
      <c r="H17" s="9">
        <f t="shared" si="11"/>
        <v>0.73007502365304899</v>
      </c>
      <c r="I17" s="19">
        <f t="shared" si="2"/>
        <v>951.34999861114193</v>
      </c>
      <c r="J17" s="15">
        <f t="shared" si="3"/>
        <v>1.6666666666666666E-2</v>
      </c>
      <c r="K17" s="10">
        <f t="shared" si="4"/>
        <v>0.99997833538163683</v>
      </c>
      <c r="L17" s="9">
        <f t="shared" si="5"/>
        <v>1.7518584762731669E-5</v>
      </c>
      <c r="M17" s="8">
        <f>G17/((1+K17))</f>
        <v>0</v>
      </c>
      <c r="N17" s="9" t="e">
        <f>M17*SQRT(((H17/G17)^2)+((L17/K17)^2))</f>
        <v>#DIV/0!</v>
      </c>
      <c r="O17" s="8">
        <f>M17*K17</f>
        <v>0</v>
      </c>
      <c r="P17" s="9" t="e">
        <f>O17*SQRT(((N17/M17)^2)+((L17/K17)^2))</f>
        <v>#DIV/0!</v>
      </c>
      <c r="Q17" s="8">
        <f t="shared" si="6"/>
        <v>0</v>
      </c>
      <c r="R17" s="8"/>
      <c r="S17" s="9">
        <v>1E-4</v>
      </c>
      <c r="T17" s="8"/>
      <c r="U17" s="9"/>
      <c r="V17" s="8"/>
      <c r="W17" s="9"/>
      <c r="X17" s="8">
        <f>M17/60</f>
        <v>0</v>
      </c>
      <c r="Y17" s="9"/>
      <c r="Z17" s="9"/>
      <c r="AA17" s="8"/>
      <c r="AB17" s="8"/>
      <c r="AC17" s="8"/>
    </row>
    <row r="18" spans="1:29" x14ac:dyDescent="0.25">
      <c r="C18" s="1"/>
    </row>
    <row r="22" spans="1:29" x14ac:dyDescent="0.25">
      <c r="Y22" s="12" t="s">
        <v>39</v>
      </c>
      <c r="Z22" s="12"/>
    </row>
    <row r="23" spans="1:29" x14ac:dyDescent="0.25">
      <c r="W23" s="11" t="s">
        <v>40</v>
      </c>
      <c r="X23" s="13">
        <f>SUM(X2:X17)</f>
        <v>11.622549342731118</v>
      </c>
      <c r="Y23" s="11">
        <f>SQRT(SUM(Z2:Z16))</f>
        <v>6.225129034493862E-2</v>
      </c>
      <c r="AB23" s="13"/>
      <c r="AC23">
        <f>SUM(AC2:AC16)</f>
        <v>11.630653641468115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CT10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2021-06-15T17:07:52Z</dcterms:modified>
</cp:coreProperties>
</file>